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CFE9BD95-49C4-8D42-8ADB-8E44E81E8E8C}" xr6:coauthVersionLast="47" xr6:coauthVersionMax="47" xr10:uidLastSave="{00000000-0000-0000-0000-000000000000}"/>
  <bookViews>
    <workbookView xWindow="0" yWindow="500" windowWidth="20540" windowHeight="1678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8" i="4" l="1"/>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F28" i="3" s="1"/>
  <c r="C46" i="3"/>
  <c r="F46" i="3" s="1"/>
  <c r="C29" i="3"/>
  <c r="C28" i="3"/>
  <c r="F27" i="3"/>
  <c r="F26" i="3"/>
  <c r="C21" i="3"/>
  <c r="C23" i="3" s="1"/>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1" i="3"/>
  <c r="F23" i="3" s="1"/>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<sst xmlns="http://schemas.openxmlformats.org/spreadsheetml/2006/main" count="128" uniqueCount="56">
  <si>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</si>
  <si>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</si>
  <si>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</si>
  <si>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</si>
  <si>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</si>
  <si>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</si>
  <si>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</si>
  <si>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</si>
  <si>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</si>
  <si>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</si>
  <si>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</si>
  <si>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</si>
  <si>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</si>
  <si>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</si>
  <si>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</si>
  <si>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</si>
  <si>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</si>
  <si>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</si>
  <si>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</si>
  <si>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</si>
  <si>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</si>
  <si>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</si>
  <si>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</si>
  <si>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</si>
  <si>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</si>
  <si>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Property Tax Bill</t>
  </si>
  <si>
    <t>Insurance</t>
  </si>
  <si>
    <t>Estimate</t>
  </si>
  <si>
    <t>Replacement/Reserves</t>
  </si>
  <si>
    <t>of annual effective income</t>
  </si>
  <si>
    <t>Management</t>
  </si>
  <si>
    <t>Year 1 mgmt. fee</t>
  </si>
  <si>
    <t>Mgmt. Fee</t>
  </si>
  <si>
    <t>Total Expenses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</si>
  <si>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</si>
  <si>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</si>
  <si>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</si>
  <si>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</si>
  <si>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</si>
  <si>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</si>
  <si>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</si>
  <si>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</si>
  <si>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</si>
  <si>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</si>
  <si>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</si>
  <si>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</si>
  <si>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</si>
  <si>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</si>
  <si>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</si>
  <si>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</si>
  <si>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</si>
  <si>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</si>
  <si>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</si>
  <si>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</si>
  <si>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</si>
  <si>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2324 Lauretta Ave, Baltimore MD 21223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</si>
</sst>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8">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C11" sqref="C11"/>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84" t="s">
        <v>0</v>
      </c>
      <c r="C4" s="84"/>
      <c r="D4" s="84"/>
      <c r="E4" s="84"/>
      <c r="F4" s="84"/>
      <c r="G4" s="84"/>
      <c r="H4" s="84"/>
      <c r="I4" s="84"/>
      <c r="J4" s="84"/>
      <c r="K4" s="84"/>
      <c r="L4" s="84"/>
    </row>
    <row r="5" spans="2:19" ht="7.25" customHeight="1" x14ac:dyDescent="0.15">
      <c r="B5" s="2"/>
    </row>
    <row r="6" spans="2:19" ht="12" customHeight="1" x14ac:dyDescent="0.15">
      <c r="B6" s="85" t="s">
        <v>1</v>
      </c>
      <c r="C6" s="85"/>
      <c r="D6" s="85"/>
      <c r="E6" s="85"/>
      <c r="F6" s="85"/>
      <c r="G6" s="85"/>
      <c r="H6" s="85"/>
      <c r="I6" s="85"/>
      <c r="J6" s="85"/>
      <c r="K6" s="85"/>
      <c r="L6" s="85"/>
    </row>
    <row r="7" spans="2:19" x14ac:dyDescent="0.2">
      <c r="B7" s="86" t="s">
        <v>55</v>
      </c>
      <c r="C7" s="86"/>
      <c r="D7" s="86"/>
      <c r="E7" s="86"/>
      <c r="F7" s="86"/>
      <c r="G7" s="86"/>
      <c r="H7" s="86"/>
      <c r="I7" s="86"/>
      <c r="J7" s="86"/>
      <c r="K7" s="86"/>
      <c r="L7" s="86"/>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192000</v>
      </c>
      <c r="D10" s="12"/>
      <c r="E10" s="10"/>
    </row>
    <row r="11" spans="2:19" ht="12" customHeight="1" x14ac:dyDescent="0.15">
      <c r="B11" s="13" t="s">
        <v>6</v>
      </c>
      <c r="C11" s="14">
        <f>C10*D11</f>
        <v>38400</v>
      </c>
      <c r="D11" s="18">
        <v>0.2</v>
      </c>
      <c r="E11" s="10"/>
    </row>
    <row r="12" spans="2:19" ht="12" customHeight="1" x14ac:dyDescent="0.15">
      <c r="B12" s="15" t="s">
        <v>7</v>
      </c>
      <c r="C12" s="14">
        <f>C10-C11</f>
        <v>153600</v>
      </c>
      <c r="D12" s="16"/>
      <c r="E12" s="10"/>
    </row>
    <row r="13" spans="2:19" ht="12" customHeight="1" x14ac:dyDescent="0.15">
      <c r="B13" s="15" t="s">
        <v>8</v>
      </c>
      <c r="C13" s="56">
        <v>0.06</v>
      </c>
      <c r="D13" s="52">
        <v>30</v>
      </c>
      <c r="E13" s="17" t="s">
        <v>9</v>
      </c>
      <c r="N13" s="59" t="s">
        <v>10</v>
      </c>
      <c r="O13" s="59"/>
      <c r="P13" s="2"/>
      <c r="Q13" s="2"/>
      <c r="R13" s="2"/>
      <c r="S13" s="2"/>
    </row>
    <row r="14" spans="2:19" ht="12" customHeight="1" x14ac:dyDescent="0.15">
      <c r="B14" s="13" t="s">
        <v>11</v>
      </c>
      <c r="C14" s="14">
        <f>C10*D14</f>
        <v>8832</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81" t="s">
        <v>12</v>
      </c>
      <c r="D16" s="82"/>
      <c r="E16"/>
      <c r="F16" s="81" t="s">
        <v>13</v>
      </c>
      <c r="G16" s="82"/>
      <c r="J16" s="60" t="s">
        <v>14</v>
      </c>
      <c r="K16" s="61"/>
      <c r="L16" s="62"/>
      <c r="N16" s="60" t="s">
        <v>15</v>
      </c>
      <c r="O16" s="61"/>
      <c r="P16" s="62"/>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63" t="s">
        <v>4</v>
      </c>
      <c r="K18" s="63"/>
      <c r="L18" s="63"/>
      <c r="M18" s="63"/>
      <c r="N18" s="42" t="s">
        <v>3</v>
      </c>
      <c r="O18" s="63" t="s">
        <v>4</v>
      </c>
      <c r="P18" s="63"/>
      <c r="Q18" s="63"/>
      <c r="R18" s="63"/>
      <c r="S18" s="63"/>
      <c r="T18" s="63"/>
      <c r="U18" s="63"/>
      <c r="V18" s="63"/>
    </row>
    <row r="19" spans="2:22" ht="12" customHeight="1" x14ac:dyDescent="0.15">
      <c r="B19" s="19" t="s">
        <v>18</v>
      </c>
      <c r="C19" s="55">
        <v>1525</v>
      </c>
      <c r="D19" s="14">
        <f>SUM(C19)*12</f>
        <v>18300</v>
      </c>
      <c r="E19"/>
      <c r="F19" s="26">
        <f>C19*(1+$N$19)^4</f>
        <v>1853.6470312500001</v>
      </c>
      <c r="G19" s="26">
        <f>D19*(1+$N$19)^4</f>
        <v>22243.764374999999</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f>(C19*I21)*-1</f>
        <v>-76.25</v>
      </c>
      <c r="D21" s="14">
        <f>(D19*I21)*-1</f>
        <v>-915</v>
      </c>
      <c r="E21"/>
      <c r="F21" s="32">
        <f>(F19*N21)*-1</f>
        <v>-92.682351562500003</v>
      </c>
      <c r="G21" s="14">
        <f>(G19*N21)*-1</f>
        <v>-1112.18821875</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1448.75</v>
      </c>
      <c r="D23" s="27">
        <f>D19+D21</f>
        <v>17385</v>
      </c>
      <c r="E23"/>
      <c r="F23" s="27">
        <f>F19+F21</f>
        <v>1760.9646796874999</v>
      </c>
      <c r="G23" s="27">
        <f>G19+G21</f>
        <v>21131.576156249997</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63" t="s">
        <v>4</v>
      </c>
      <c r="K25" s="63"/>
      <c r="L25" s="63"/>
      <c r="M25" s="63"/>
      <c r="N25" s="42" t="s">
        <v>3</v>
      </c>
      <c r="O25" s="63" t="s">
        <v>4</v>
      </c>
      <c r="P25" s="63"/>
      <c r="Q25" s="63"/>
      <c r="R25" s="63"/>
      <c r="S25" s="63"/>
      <c r="T25" s="63"/>
      <c r="U25" s="63"/>
      <c r="V25" s="63"/>
    </row>
    <row r="26" spans="2:22" ht="12" customHeight="1" x14ac:dyDescent="0.15">
      <c r="B26" s="13" t="s">
        <v>24</v>
      </c>
      <c r="C26" s="8">
        <f>D26/12</f>
        <v>79.083333333333329</v>
      </c>
      <c r="D26" s="55">
        <v>949</v>
      </c>
      <c r="E26"/>
      <c r="F26" s="22">
        <f>C26*(1+$N$27)^4</f>
        <v>89.008988390833323</v>
      </c>
      <c r="G26" s="22">
        <f>D26*(1+$N$27)^4</f>
        <v>1068.1078606899998</v>
      </c>
      <c r="I26" s="20"/>
      <c r="J26" s="21" t="s">
        <v>25</v>
      </c>
      <c r="N26" s="57">
        <v>0.05</v>
      </c>
      <c r="O26" s="21" t="s">
        <v>25</v>
      </c>
    </row>
    <row r="27" spans="2:22" ht="12" customHeight="1" x14ac:dyDescent="0.15">
      <c r="B27" s="13" t="s">
        <v>26</v>
      </c>
      <c r="C27" s="22">
        <f>D27/12</f>
        <v>54.166666666666664</v>
      </c>
      <c r="D27" s="55">
        <v>650</v>
      </c>
      <c r="E27"/>
      <c r="F27" s="22">
        <f>C27*(1+$N$27)^4</f>
        <v>60.965060541666659</v>
      </c>
      <c r="G27" s="22">
        <f>D27*(1+$N$27)^4</f>
        <v>731.58072649999997</v>
      </c>
      <c r="I27" s="23"/>
      <c r="J27" s="17" t="s">
        <v>27</v>
      </c>
      <c r="N27" s="57">
        <v>0.03</v>
      </c>
      <c r="O27" s="17" t="s">
        <v>19</v>
      </c>
    </row>
    <row r="28" spans="2:22" ht="12" customHeight="1" x14ac:dyDescent="0.15">
      <c r="B28" s="13" t="s">
        <v>28</v>
      </c>
      <c r="C28" s="14">
        <f>I28*C19</f>
        <v>30.5</v>
      </c>
      <c r="D28" s="14">
        <f>I28*D19</f>
        <v>366</v>
      </c>
      <c r="E28"/>
      <c r="F28" s="14">
        <f>N28*F19</f>
        <v>37.072940625000001</v>
      </c>
      <c r="G28" s="14">
        <f>N28*G19</f>
        <v>444.87528750000001</v>
      </c>
      <c r="I28" s="57">
        <v>0.02</v>
      </c>
      <c r="J28" s="24" t="s">
        <v>29</v>
      </c>
      <c r="N28" s="57">
        <v>0.02</v>
      </c>
      <c r="O28" s="24" t="s">
        <v>29</v>
      </c>
    </row>
    <row r="29" spans="2:22" ht="12" customHeight="1" x14ac:dyDescent="0.15">
      <c r="B29" s="13" t="s">
        <v>30</v>
      </c>
      <c r="C29" s="14">
        <f>I29*C19</f>
        <v>91.5</v>
      </c>
      <c r="D29" s="14">
        <f>I29*D19</f>
        <v>1098</v>
      </c>
      <c r="E29"/>
      <c r="F29" s="14">
        <f>N29*F19</f>
        <v>148.2917625</v>
      </c>
      <c r="G29" s="14">
        <f>N29*G19</f>
        <v>1779.5011500000001</v>
      </c>
      <c r="I29" s="57">
        <v>0.06</v>
      </c>
      <c r="J29" s="17" t="s">
        <v>31</v>
      </c>
      <c r="N29" s="57">
        <v>0.08</v>
      </c>
      <c r="O29" s="17" t="s">
        <v>32</v>
      </c>
    </row>
    <row r="30" spans="2:22" ht="4.25" customHeight="1" x14ac:dyDescent="0.15">
      <c r="B30" s="31"/>
      <c r="C30" s="31"/>
      <c r="D30" s="31"/>
      <c r="E30"/>
      <c r="F30" s="31"/>
      <c r="G30" s="31"/>
      <c r="I30" s="10"/>
      <c r="J30" s="10"/>
      <c r="N30" s="10"/>
      <c r="O30" s="10"/>
      <c r="P30" s="10"/>
    </row>
    <row r="31" spans="2:22" s="10" customFormat="1" ht="12" customHeight="1" x14ac:dyDescent="0.15">
      <c r="B31" s="40" t="s">
        <v>33</v>
      </c>
      <c r="C31" s="27">
        <f>SUM(C26:C29)</f>
        <v>255.25</v>
      </c>
      <c r="D31" s="27">
        <f>SUM(D26:D29)</f>
        <v>3063</v>
      </c>
      <c r="F31" s="27">
        <f>SUM(F26:F29)</f>
        <v>335.33875205749996</v>
      </c>
      <c r="G31" s="27">
        <f>SUM(G26:G29)</f>
        <v>4024.06502469</v>
      </c>
      <c r="P31"/>
      <c r="Q31"/>
    </row>
    <row r="32" spans="2:22" ht="12" customHeight="1" x14ac:dyDescent="0.15">
      <c r="C32" s="4"/>
      <c r="D32"/>
      <c r="E32"/>
      <c r="F32" s="4"/>
      <c r="J32" s="34"/>
      <c r="O32" s="34"/>
    </row>
    <row r="33" spans="2:21" ht="12" customHeight="1" x14ac:dyDescent="0.15">
      <c r="B33" s="11" t="s">
        <v>34</v>
      </c>
      <c r="C33" s="27">
        <f>C23-C31</f>
        <v>1193.5</v>
      </c>
      <c r="D33" s="27">
        <f>D23-D31</f>
        <v>14322</v>
      </c>
      <c r="E33"/>
      <c r="F33" s="27">
        <f>F23-F31</f>
        <v>1425.62592763</v>
      </c>
      <c r="G33" s="27">
        <f>G23-G31</f>
        <v>17107.511131559997</v>
      </c>
    </row>
    <row r="34" spans="2:21" ht="12" customHeight="1" x14ac:dyDescent="0.15">
      <c r="C34" s="4"/>
      <c r="D34"/>
      <c r="E34"/>
      <c r="F34" s="4"/>
    </row>
    <row r="35" spans="2:21" ht="12" customHeight="1" x14ac:dyDescent="0.15">
      <c r="B35" s="39" t="s">
        <v>35</v>
      </c>
      <c r="C35" s="5">
        <f>PMT(C13/12,D13*12,C12)</f>
        <v>-920.90960663462761</v>
      </c>
      <c r="D35" s="5">
        <f>PMT(C13/12,D13*12,C12)*12</f>
        <v>-11050.915279615532</v>
      </c>
      <c r="E35"/>
      <c r="F35" s="5">
        <f>PMT(C13/12,D13*12,C12)</f>
        <v>-920.90960663462761</v>
      </c>
      <c r="G35" s="5">
        <f>PMT(C13/12,D13*12,C12)*12</f>
        <v>-11050.915279615532</v>
      </c>
      <c r="J35" s="34"/>
      <c r="O35" s="34"/>
    </row>
    <row r="36" spans="2:21" ht="12" customHeight="1" x14ac:dyDescent="0.15">
      <c r="C36" s="4"/>
      <c r="D36"/>
      <c r="E36"/>
      <c r="F36" s="4"/>
      <c r="K36" s="41"/>
    </row>
    <row r="37" spans="2:21" ht="12" customHeight="1" x14ac:dyDescent="0.15">
      <c r="B37" s="11" t="s">
        <v>36</v>
      </c>
      <c r="C37" s="27">
        <f>C33+C35</f>
        <v>272.59039336537239</v>
      </c>
      <c r="D37" s="27">
        <f>D33+D35</f>
        <v>3271.0847203844678</v>
      </c>
      <c r="E37"/>
      <c r="F37" s="27">
        <f>F33+F35</f>
        <v>504.71632099537237</v>
      </c>
      <c r="G37" s="27">
        <f>G33+G35</f>
        <v>6056.5958519444648</v>
      </c>
    </row>
    <row r="38" spans="2:21" ht="12" customHeight="1" x14ac:dyDescent="0.15">
      <c r="D38"/>
      <c r="E38"/>
    </row>
    <row r="39" spans="2:21" ht="12" customHeight="1" x14ac:dyDescent="0.15">
      <c r="B39" s="35" t="s">
        <v>37</v>
      </c>
      <c r="C39" s="37">
        <f>C33/$C$10</f>
        <v>6.2161458333333331E-3</v>
      </c>
      <c r="D39" s="37">
        <f>D33/$C$10</f>
        <v>7.459375E-2</v>
      </c>
      <c r="E39"/>
      <c r="F39" s="37">
        <f>F33/$C$10</f>
        <v>7.4251350397395834E-3</v>
      </c>
      <c r="G39" s="37">
        <f>G33/$C$10</f>
        <v>8.910162047687499E-2</v>
      </c>
      <c r="I39" s="29" t="s">
        <v>38</v>
      </c>
      <c r="O39" s="29"/>
    </row>
    <row r="40" spans="2:21" ht="12" customHeight="1" x14ac:dyDescent="0.15">
      <c r="B40" s="36"/>
      <c r="C40" s="38"/>
      <c r="D40" s="38"/>
      <c r="E40"/>
      <c r="F40" s="38"/>
      <c r="G40" s="38"/>
    </row>
    <row r="41" spans="2:21" ht="12" customHeight="1" x14ac:dyDescent="0.15">
      <c r="B41" s="35" t="s">
        <v>39</v>
      </c>
      <c r="C41" s="37">
        <f>C37/($C$11+$C$14)</f>
        <v>5.7713074476069695E-3</v>
      </c>
      <c r="D41" s="37">
        <f>D37/($C$11+$C$14)</f>
        <v>6.925568937128361E-2</v>
      </c>
      <c r="E41"/>
      <c r="F41" s="37">
        <f>F37/($C$11+$C$14)</f>
        <v>1.0685897717551076E-2</v>
      </c>
      <c r="G41" s="37">
        <f>G37/($C$11+$C$14)</f>
        <v>0.12823077261061283</v>
      </c>
      <c r="I41" s="29" t="s">
        <v>40</v>
      </c>
    </row>
    <row r="42" spans="2:21" ht="12" customHeight="1" thickBot="1" x14ac:dyDescent="0.2">
      <c r="D42"/>
      <c r="E42"/>
    </row>
    <row r="43" spans="2:21" ht="29.25" customHeight="1" thickBot="1" x14ac:dyDescent="0.2">
      <c r="C43" s="81" t="s">
        <v>41</v>
      </c>
      <c r="D43" s="82"/>
      <c r="E43"/>
      <c r="F43" s="81" t="s">
        <v>42</v>
      </c>
      <c r="G43" s="82"/>
    </row>
    <row r="44" spans="2:21" ht="12" customHeight="1" x14ac:dyDescent="0.15">
      <c r="D44"/>
      <c r="E44"/>
      <c r="P44" s="49"/>
      <c r="Q44" s="49"/>
      <c r="R44" s="49"/>
      <c r="S44" s="49"/>
      <c r="T44" s="49"/>
    </row>
    <row r="45" spans="2:21" ht="12" customHeight="1" x14ac:dyDescent="0.15">
      <c r="B45" s="45" t="s">
        <v>43</v>
      </c>
      <c r="C45" s="67">
        <f>D37</f>
        <v>3271.0847203844678</v>
      </c>
      <c r="D45" s="68"/>
      <c r="E45"/>
      <c r="F45" s="67">
        <f>SUM('Annual Cash Flow'!D36,'Annual Cash Flow'!G36,'Annual Cash Flow'!J36,'Annual Cash Flow'!M36,'Annual Cash Flow'!P36)</f>
        <v>22573.309535482342</v>
      </c>
      <c r="G45" s="68"/>
      <c r="O45" s="29"/>
    </row>
    <row r="46" spans="2:21" ht="12" customHeight="1" x14ac:dyDescent="0.15">
      <c r="B46" s="45" t="s">
        <v>44</v>
      </c>
      <c r="C46" s="67">
        <f>C10*I46</f>
        <v>9600</v>
      </c>
      <c r="D46" s="68"/>
      <c r="E46"/>
      <c r="F46" s="67">
        <f>C46*5</f>
        <v>48000</v>
      </c>
      <c r="G46" s="68"/>
      <c r="I46" s="41">
        <v>0.05</v>
      </c>
      <c r="J46" s="28" t="s">
        <v>44</v>
      </c>
      <c r="O46" s="45"/>
      <c r="P46" s="44"/>
      <c r="Q46" s="44"/>
      <c r="R46" s="44"/>
      <c r="S46" s="44"/>
      <c r="T46" s="44"/>
      <c r="U46" s="47"/>
    </row>
    <row r="47" spans="2:21" ht="12" customHeight="1" x14ac:dyDescent="0.15">
      <c r="B47" s="45" t="s">
        <v>45</v>
      </c>
      <c r="C47" s="67">
        <f>($C$10*(0.9)/27.5)</f>
        <v>6283.636363636364</v>
      </c>
      <c r="D47" s="67"/>
      <c r="E47"/>
      <c r="F47" s="67">
        <f>($C$10/$I$47)*(0.9)*5</f>
        <v>31418.18181818182</v>
      </c>
      <c r="G47" s="68"/>
      <c r="I47">
        <v>27.5</v>
      </c>
      <c r="J47" s="28" t="s">
        <v>46</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47</v>
      </c>
      <c r="C49" s="83">
        <f>SUM(C45:D47)</f>
        <v>19154.721084020832</v>
      </c>
      <c r="D49" s="83"/>
      <c r="E49"/>
      <c r="F49" s="83">
        <f>SUM(F45:G47)</f>
        <v>101991.49135366417</v>
      </c>
      <c r="G49" s="83"/>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69" t="s">
        <v>48</v>
      </c>
      <c r="C52" s="70"/>
      <c r="D52" s="70"/>
      <c r="E52" s="70"/>
      <c r="F52" s="70"/>
      <c r="G52" s="71"/>
      <c r="H52" s="54"/>
      <c r="I52" s="54"/>
      <c r="J52" s="54"/>
      <c r="K52" s="54"/>
      <c r="L52" s="54"/>
    </row>
    <row r="53" spans="2:21" ht="13" x14ac:dyDescent="0.15">
      <c r="B53" s="72"/>
      <c r="C53" s="73"/>
      <c r="D53" s="73"/>
      <c r="E53" s="73"/>
      <c r="F53" s="73"/>
      <c r="G53" s="74"/>
      <c r="H53" s="31"/>
      <c r="I53" s="10"/>
      <c r="J53" s="10"/>
      <c r="K53" s="10"/>
      <c r="L53" s="10"/>
    </row>
    <row r="54" spans="2:21" s="28" customFormat="1" ht="12" customHeight="1" x14ac:dyDescent="0.15">
      <c r="B54" s="75" t="s">
        <v>49</v>
      </c>
      <c r="C54" s="76"/>
      <c r="D54" s="76"/>
      <c r="E54" s="76"/>
      <c r="F54" s="76"/>
      <c r="G54" s="77"/>
      <c r="H54" s="53"/>
      <c r="I54" s="53"/>
      <c r="J54" s="53"/>
      <c r="K54" s="53"/>
      <c r="L54" s="53"/>
    </row>
    <row r="55" spans="2:21" s="28" customFormat="1" ht="12" customHeight="1" thickBot="1" x14ac:dyDescent="0.2">
      <c r="B55" s="78"/>
      <c r="C55" s="79"/>
      <c r="D55" s="79"/>
      <c r="E55" s="79"/>
      <c r="F55" s="79"/>
      <c r="G55" s="80"/>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6">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84" t="s">
        <v>0</v>
      </c>
      <c r="C5" s="84"/>
      <c r="D5" s="84"/>
      <c r="E5" s="84"/>
      <c r="F5" s="84"/>
      <c r="G5" s="84"/>
      <c r="H5" s="84"/>
      <c r="I5" s="84"/>
      <c r="J5" s="84"/>
      <c r="K5" s="84"/>
      <c r="L5" s="84"/>
      <c r="M5" s="84"/>
      <c r="N5" s="84"/>
      <c r="O5" s="84"/>
      <c r="P5" s="84"/>
      <c r="Q5" s="84"/>
      <c r="R5" s="84"/>
      <c r="S5" s="84"/>
      <c r="T5" s="84"/>
      <c r="U5" s="84"/>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192000</v>
      </c>
      <c r="D9" s="12"/>
      <c r="E9" s="10"/>
    </row>
    <row r="10" spans="2:28" ht="12" customHeight="1" x14ac:dyDescent="0.15">
      <c r="B10" s="13" t="s">
        <v>6</v>
      </c>
      <c r="C10" s="14">
        <f>C9*D10</f>
        <v>38400</v>
      </c>
      <c r="D10" s="18">
        <f>'1-5 Year Summary'!D11</f>
        <v>0.2</v>
      </c>
      <c r="E10" s="10"/>
    </row>
    <row r="11" spans="2:28" ht="12" customHeight="1" x14ac:dyDescent="0.15">
      <c r="B11" s="15" t="s">
        <v>7</v>
      </c>
      <c r="C11" s="14">
        <f>C9-C10</f>
        <v>153600</v>
      </c>
      <c r="D11" s="16"/>
      <c r="E11" s="10"/>
    </row>
    <row r="12" spans="2:28" ht="12" customHeight="1" x14ac:dyDescent="0.15">
      <c r="B12" s="15" t="s">
        <v>8</v>
      </c>
      <c r="C12" s="3">
        <f>'1-5 Year Summary'!C13</f>
        <v>0.06</v>
      </c>
      <c r="D12" s="52">
        <f>'1-5 Year Summary'!D13</f>
        <v>30</v>
      </c>
      <c r="E12" s="17" t="s">
        <v>9</v>
      </c>
      <c r="W12" s="87"/>
      <c r="X12" s="87"/>
      <c r="Y12" s="2"/>
      <c r="Z12" s="2"/>
      <c r="AA12" s="2"/>
      <c r="AB12" s="2"/>
    </row>
    <row r="13" spans="2:28" ht="12" customHeight="1" x14ac:dyDescent="0.15">
      <c r="B13" s="13" t="s">
        <v>11</v>
      </c>
      <c r="C13" s="30">
        <f>C9*D13</f>
        <v>8832</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81" t="s">
        <v>50</v>
      </c>
      <c r="D15" s="82"/>
      <c r="E15"/>
      <c r="F15" s="81" t="s">
        <v>51</v>
      </c>
      <c r="G15" s="82"/>
      <c r="I15" s="81" t="s">
        <v>52</v>
      </c>
      <c r="J15" s="82"/>
      <c r="L15" s="81" t="s">
        <v>53</v>
      </c>
      <c r="M15" s="82"/>
      <c r="O15" s="81" t="s">
        <v>54</v>
      </c>
      <c r="P15" s="82"/>
      <c r="S15" s="60" t="s">
        <v>14</v>
      </c>
      <c r="T15" s="61"/>
      <c r="U15" s="62"/>
      <c r="W15" s="60" t="s">
        <v>15</v>
      </c>
      <c r="X15" s="61"/>
      <c r="Y15" s="62"/>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63" t="s">
        <v>4</v>
      </c>
      <c r="T17" s="63"/>
      <c r="U17" s="63"/>
      <c r="V17" s="63"/>
      <c r="W17" s="42" t="s">
        <v>3</v>
      </c>
      <c r="X17" s="63" t="s">
        <v>4</v>
      </c>
      <c r="Y17" s="63"/>
      <c r="Z17" s="63"/>
      <c r="AA17" s="63"/>
      <c r="AB17" s="63"/>
      <c r="AC17" s="63"/>
      <c r="AD17" s="63"/>
      <c r="AE17" s="63"/>
    </row>
    <row r="18" spans="2:31" ht="12" customHeight="1" x14ac:dyDescent="0.15">
      <c r="B18" s="19" t="s">
        <v>18</v>
      </c>
      <c r="C18" s="8">
        <f>'1-5 Year Summary'!C19</f>
        <v>1525</v>
      </c>
      <c r="D18" s="14">
        <f>SUM(C18)*12</f>
        <v>18300</v>
      </c>
      <c r="E18"/>
      <c r="F18" s="26">
        <f>C18*(1+$W$18)</f>
        <v>1601.25</v>
      </c>
      <c r="G18" s="26">
        <f>D18*(1+$W$18)</f>
        <v>19215</v>
      </c>
      <c r="I18" s="26">
        <f>F18*(1+$W$18)</f>
        <v>1681.3125</v>
      </c>
      <c r="J18" s="26">
        <f>G18*(1+$W$18)</f>
        <v>20175.75</v>
      </c>
      <c r="L18" s="26">
        <f>I18*(1+$W$18)</f>
        <v>1765.3781250000002</v>
      </c>
      <c r="M18" s="26">
        <f>J18*(1+$W$18)</f>
        <v>21184.537500000002</v>
      </c>
      <c r="O18" s="26">
        <f>L18*(1+$W$18)</f>
        <v>1853.6470312500003</v>
      </c>
      <c r="P18" s="26">
        <f>M18*(1+$W$18)</f>
        <v>22243.764375000002</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-76.25</v>
      </c>
      <c r="D20" s="14">
        <f>(D18*R20)*-1</f>
        <v>-915</v>
      </c>
      <c r="E20"/>
      <c r="F20" s="32">
        <f>(F18*W20)*-1</f>
        <v>-80.0625</v>
      </c>
      <c r="G20" s="14">
        <f>(G18*W20)*-1</f>
        <v>-960.75</v>
      </c>
      <c r="I20" s="32">
        <f>(I18*$W$20)*-1</f>
        <v>-84.065625000000011</v>
      </c>
      <c r="J20" s="14">
        <f>(J18*$W$20)*-1</f>
        <v>-1008.7875</v>
      </c>
      <c r="L20" s="32">
        <f>(L18*$W$20)*-1</f>
        <v>-88.268906250000015</v>
      </c>
      <c r="M20" s="14">
        <f>(M18*$W$20)*-1</f>
        <v>-1059.2268750000001</v>
      </c>
      <c r="O20" s="32">
        <f>(O18*$W$20)*-1</f>
        <v>-92.682351562500017</v>
      </c>
      <c r="P20" s="14">
        <f>(P18*$W$20)*-1</f>
        <v>-1112.1882187500003</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1448.75</v>
      </c>
      <c r="D22" s="27">
        <f>D18+D20</f>
        <v>17385</v>
      </c>
      <c r="E22"/>
      <c r="F22" s="27">
        <f>F18+F20</f>
        <v>1521.1875</v>
      </c>
      <c r="G22" s="27">
        <f>G18+G20</f>
        <v>18254.25</v>
      </c>
      <c r="I22" s="27">
        <f>I18+I20</f>
        <v>1597.246875</v>
      </c>
      <c r="J22" s="27">
        <f>J18+J20</f>
        <v>19166.962500000001</v>
      </c>
      <c r="L22" s="27">
        <f>L18+L20</f>
        <v>1677.1092187500001</v>
      </c>
      <c r="M22" s="27">
        <f>M18+M20</f>
        <v>20125.310625000002</v>
      </c>
      <c r="O22" s="27">
        <f>O18+O20</f>
        <v>1760.9646796875002</v>
      </c>
      <c r="P22" s="27">
        <f>P18+P20</f>
        <v>21131.576156250001</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63" t="s">
        <v>4</v>
      </c>
      <c r="T24" s="63"/>
      <c r="U24" s="63"/>
      <c r="V24" s="63"/>
      <c r="W24" s="42" t="s">
        <v>3</v>
      </c>
      <c r="X24" s="63" t="s">
        <v>4</v>
      </c>
      <c r="Y24" s="63"/>
      <c r="Z24" s="63"/>
      <c r="AA24" s="63"/>
      <c r="AB24" s="63"/>
      <c r="AC24" s="63"/>
      <c r="AD24" s="63"/>
      <c r="AE24" s="63"/>
    </row>
    <row r="25" spans="2:31" ht="12" customHeight="1" x14ac:dyDescent="0.15">
      <c r="B25" s="13" t="s">
        <v>24</v>
      </c>
      <c r="C25" s="8">
        <f>D25/12</f>
        <v>79.083333333333329</v>
      </c>
      <c r="D25" s="8">
        <f>'1-5 Year Summary'!D26</f>
        <v>949</v>
      </c>
      <c r="E25"/>
      <c r="F25" s="22">
        <f>C25*(1+$W$26)</f>
        <v>81.455833333333331</v>
      </c>
      <c r="G25" s="22">
        <f>D25*(1+$W$26)</f>
        <v>977.47</v>
      </c>
      <c r="I25" s="22">
        <f>F25*(1+$W$26)</f>
        <v>83.89950833333333</v>
      </c>
      <c r="J25" s="22">
        <f>G25*(1+$W$26)</f>
        <v>1006.7941000000001</v>
      </c>
      <c r="L25" s="22">
        <f>I25*(1+$W$26)</f>
        <v>86.416493583333335</v>
      </c>
      <c r="M25" s="22">
        <f>J25*(1+$W$26)</f>
        <v>1036.9979230000001</v>
      </c>
      <c r="O25" s="22">
        <f>L25*(1+$W$26)</f>
        <v>89.008988390833338</v>
      </c>
      <c r="P25" s="22">
        <f>M25*(1+$W$26)</f>
        <v>1068.1078606900001</v>
      </c>
      <c r="R25" s="20"/>
      <c r="S25" s="21" t="s">
        <v>25</v>
      </c>
      <c r="W25" s="7">
        <f>'1-5 Year Summary'!N26</f>
        <v>0.05</v>
      </c>
      <c r="X25" s="21" t="s">
        <v>25</v>
      </c>
    </row>
    <row r="26" spans="2:31" ht="12" customHeight="1" x14ac:dyDescent="0.15">
      <c r="B26" s="13" t="s">
        <v>26</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27</v>
      </c>
      <c r="W26" s="7">
        <f>'1-5 Year Summary'!N27</f>
        <v>0.03</v>
      </c>
      <c r="X26" s="17" t="s">
        <v>19</v>
      </c>
    </row>
    <row r="27" spans="2:31" ht="12" customHeight="1" x14ac:dyDescent="0.15">
      <c r="B27" s="13" t="s">
        <v>28</v>
      </c>
      <c r="C27" s="14">
        <f>R27*C18</f>
        <v>30.5</v>
      </c>
      <c r="D27" s="14">
        <f>R27*D18</f>
        <v>366</v>
      </c>
      <c r="E27"/>
      <c r="F27" s="14">
        <f>W27*F18</f>
        <v>32.024999999999999</v>
      </c>
      <c r="G27" s="14">
        <f>W27*G18</f>
        <v>384.3</v>
      </c>
      <c r="I27" s="14">
        <f>W27*I18</f>
        <v>33.626249999999999</v>
      </c>
      <c r="J27" s="14">
        <f>W27*J18</f>
        <v>403.51499999999999</v>
      </c>
      <c r="L27" s="14">
        <f>$W$27*L18</f>
        <v>35.307562500000003</v>
      </c>
      <c r="M27" s="14">
        <f>$W$27*M18</f>
        <v>423.69075000000004</v>
      </c>
      <c r="O27" s="14">
        <f>$W$27*O18</f>
        <v>37.072940625000008</v>
      </c>
      <c r="P27" s="14">
        <f>$W$27*P18</f>
        <v>444.87528750000007</v>
      </c>
      <c r="R27" s="7">
        <f>'1-5 Year Summary'!I28</f>
        <v>0.02</v>
      </c>
      <c r="S27" s="24" t="s">
        <v>29</v>
      </c>
      <c r="W27" s="7">
        <f>'1-5 Year Summary'!N28</f>
        <v>0.02</v>
      </c>
      <c r="X27" s="24" t="s">
        <v>29</v>
      </c>
    </row>
    <row r="28" spans="2:31" ht="12" customHeight="1" x14ac:dyDescent="0.15">
      <c r="B28" s="13" t="s">
        <v>30</v>
      </c>
      <c r="C28" s="14">
        <f>R28*C18</f>
        <v>91.5</v>
      </c>
      <c r="D28" s="14">
        <f>R28*D18</f>
        <v>1098</v>
      </c>
      <c r="E28"/>
      <c r="F28" s="14">
        <f>W28*F18</f>
        <v>128.1</v>
      </c>
      <c r="G28" s="14">
        <f>W28*G18</f>
        <v>1537.2</v>
      </c>
      <c r="I28" s="14">
        <f>$W$28*I18</f>
        <v>134.505</v>
      </c>
      <c r="J28" s="14">
        <f>$W$28*J18</f>
        <v>1614.06</v>
      </c>
      <c r="L28" s="14">
        <f>$W$28*L18</f>
        <v>141.23025000000001</v>
      </c>
      <c r="M28" s="14">
        <f>$W$28*M18</f>
        <v>1694.7630000000001</v>
      </c>
      <c r="O28" s="14">
        <f>$W$28*O18</f>
        <v>148.29176250000003</v>
      </c>
      <c r="P28" s="14">
        <f>$W$28*P18</f>
        <v>1779.5011500000003</v>
      </c>
      <c r="R28" s="7">
        <f>'1-5 Year Summary'!I29</f>
        <v>0.06</v>
      </c>
      <c r="S28" s="17" t="s">
        <v>31</v>
      </c>
      <c r="W28" s="7">
        <f>'1-5 Year Summary'!N29</f>
        <v>0.08</v>
      </c>
      <c r="X28" s="17" t="s">
        <v>32</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33</v>
      </c>
      <c r="C30" s="27">
        <f>SUM(C25:C28)</f>
        <v>255.25</v>
      </c>
      <c r="D30" s="27">
        <f>SUM(D25:D28)</f>
        <v>3063</v>
      </c>
      <c r="F30" s="27">
        <f>SUM(F25:F28)</f>
        <v>297.3725</v>
      </c>
      <c r="G30" s="27">
        <f>SUM(G25:G28)</f>
        <v>3568.4700000000003</v>
      </c>
      <c r="I30" s="27">
        <f>SUM(I25:I28)</f>
        <v>309.49617499999999</v>
      </c>
      <c r="J30" s="27">
        <f>SUM(J25:J28)</f>
        <v>3713.9540999999999</v>
      </c>
      <c r="L30" s="27">
        <f>SUM(L25:L28)</f>
        <v>322.14368525000003</v>
      </c>
      <c r="M30" s="27">
        <f>SUM(M25:M28)</f>
        <v>3865.7242230000002</v>
      </c>
      <c r="O30" s="27">
        <f>SUM(O25:O28)</f>
        <v>335.33875205750007</v>
      </c>
      <c r="P30" s="27">
        <f>SUM(P25:P28)</f>
        <v>4024.0650246900004</v>
      </c>
      <c r="Y30"/>
      <c r="Z30"/>
    </row>
    <row r="31" spans="2:31" ht="12" customHeight="1" x14ac:dyDescent="0.15">
      <c r="C31" s="4"/>
      <c r="D31"/>
      <c r="E31"/>
      <c r="F31" s="4"/>
      <c r="I31" s="4"/>
      <c r="L31" s="4"/>
      <c r="O31" s="4"/>
      <c r="S31" s="34"/>
      <c r="X31" s="34"/>
    </row>
    <row r="32" spans="2:31" ht="12" customHeight="1" x14ac:dyDescent="0.15">
      <c r="B32" s="11" t="s">
        <v>34</v>
      </c>
      <c r="C32" s="27">
        <f>C22-C30</f>
        <v>1193.5</v>
      </c>
      <c r="D32" s="27">
        <f>D22-D30</f>
        <v>14322</v>
      </c>
      <c r="E32"/>
      <c r="F32" s="27">
        <f>F22-F30</f>
        <v>1223.8150000000001</v>
      </c>
      <c r="G32" s="27">
        <f>G22-G30</f>
        <v>14685.779999999999</v>
      </c>
      <c r="I32" s="27">
        <f>I22-I30</f>
        <v>1287.7507000000001</v>
      </c>
      <c r="J32" s="27">
        <f>J22-J30</f>
        <v>15453.008400000002</v>
      </c>
      <c r="L32" s="27">
        <f>L22-L30</f>
        <v>1354.9655335</v>
      </c>
      <c r="M32" s="27">
        <f>M22-M30</f>
        <v>16259.586402000001</v>
      </c>
      <c r="O32" s="27">
        <f>O22-O30</f>
        <v>1425.6259276300002</v>
      </c>
      <c r="P32" s="27">
        <f>P22-P30</f>
        <v>17107.511131560001</v>
      </c>
    </row>
    <row r="33" spans="2:24" ht="12" customHeight="1" x14ac:dyDescent="0.15">
      <c r="C33" s="4"/>
      <c r="D33"/>
      <c r="E33"/>
      <c r="F33" s="4"/>
      <c r="I33" s="4"/>
      <c r="L33" s="4"/>
      <c r="O33" s="4"/>
    </row>
    <row r="34" spans="2:24" ht="12" customHeight="1" x14ac:dyDescent="0.15">
      <c r="B34" s="39" t="s">
        <v>35</v>
      </c>
      <c r="C34" s="5">
        <f>PMT(C12/12,D12*12,C11)</f>
        <v>-920.90960663462761</v>
      </c>
      <c r="D34" s="5">
        <f>PMT(C12/12,D12*12,C11)*12</f>
        <v>-11050.915279615532</v>
      </c>
      <c r="E34"/>
      <c r="F34" s="5">
        <f>PMT(C12/12,D12*12,C11)</f>
        <v>-920.90960663462761</v>
      </c>
      <c r="G34" s="5">
        <f>PMT(C12/12,D12*12,C11)*12</f>
        <v>-11050.915279615532</v>
      </c>
      <c r="I34" s="5">
        <f>PMT($C$12/12,$D$12*12,$C$11)</f>
        <v>-920.90960663462761</v>
      </c>
      <c r="J34" s="5">
        <f>PMT($C$12/12,$D$12*12,$C$11)*12</f>
        <v>-11050.915279615532</v>
      </c>
      <c r="L34" s="5">
        <f>PMT($C$12/12,$D$12*12,$C$11)</f>
        <v>-920.90960663462761</v>
      </c>
      <c r="M34" s="5">
        <f>PMT($C$12/12,$D$12*12,$C$11)*12</f>
        <v>-11050.915279615532</v>
      </c>
      <c r="O34" s="5">
        <f>PMT($C$12/12,$D$12*12,$C$11)</f>
        <v>-920.90960663462761</v>
      </c>
      <c r="P34" s="5">
        <f>PMT($C$12/12,$D$12*12,$C$11)*12</f>
        <v>-11050.915279615532</v>
      </c>
      <c r="S34" s="34"/>
      <c r="X34" s="34"/>
    </row>
    <row r="35" spans="2:24" ht="12" customHeight="1" x14ac:dyDescent="0.15">
      <c r="C35" s="4"/>
      <c r="D35"/>
      <c r="E35"/>
      <c r="F35" s="4"/>
      <c r="I35" s="4"/>
      <c r="L35" s="4"/>
      <c r="O35" s="4"/>
      <c r="T35" s="41"/>
    </row>
    <row r="36" spans="2:24" ht="12" customHeight="1" x14ac:dyDescent="0.15">
      <c r="B36" s="11" t="s">
        <v>36</v>
      </c>
      <c r="C36" s="27">
        <f>C32+C34</f>
        <v>272.59039336537239</v>
      </c>
      <c r="D36" s="27">
        <f>D32+D34</f>
        <v>3271.0847203844678</v>
      </c>
      <c r="E36"/>
      <c r="F36" s="27">
        <f>F32+F34</f>
        <v>302.90539336537245</v>
      </c>
      <c r="G36" s="27">
        <f>G32+G34</f>
        <v>3634.8647203844666</v>
      </c>
      <c r="I36" s="27">
        <f>I32+I34</f>
        <v>366.84109336537244</v>
      </c>
      <c r="J36" s="27">
        <f>J32+J34</f>
        <v>4402.0931203844702</v>
      </c>
      <c r="L36" s="27">
        <f>L32+L34</f>
        <v>434.05592686537238</v>
      </c>
      <c r="M36" s="27">
        <f>M32+M34</f>
        <v>5208.6711223844686</v>
      </c>
      <c r="O36" s="27">
        <f>O32+O34</f>
        <v>504.7163209953726</v>
      </c>
      <c r="P36" s="27">
        <f>P32+P34</f>
        <v>6056.5958519444684</v>
      </c>
    </row>
    <row r="37" spans="2:24" ht="12" customHeight="1" x14ac:dyDescent="0.15">
      <c r="D37"/>
      <c r="E37"/>
    </row>
    <row r="38" spans="2:24" ht="12" customHeight="1" x14ac:dyDescent="0.15">
      <c r="B38" s="35" t="s">
        <v>37</v>
      </c>
      <c r="C38" s="37">
        <f>C32/$C$9</f>
        <v>6.2161458333333331E-3</v>
      </c>
      <c r="D38" s="37">
        <f>D32/$C$9</f>
        <v>7.459375E-2</v>
      </c>
      <c r="E38"/>
      <c r="F38" s="37">
        <f>F32/$C$9</f>
        <v>6.3740364583333336E-3</v>
      </c>
      <c r="G38" s="37">
        <f>G32/$C$9</f>
        <v>7.6488437499999992E-2</v>
      </c>
      <c r="I38" s="37">
        <f>I32/$C$9</f>
        <v>6.7070348958333335E-3</v>
      </c>
      <c r="J38" s="37">
        <f>J32/$C$9</f>
        <v>8.0484418750000009E-2</v>
      </c>
      <c r="L38" s="37">
        <f>L32/$C$9</f>
        <v>7.057112153645833E-3</v>
      </c>
      <c r="M38" s="37">
        <f>M32/$C$9</f>
        <v>8.468534584375001E-2</v>
      </c>
      <c r="O38" s="37">
        <f>O32/$C$9</f>
        <v>7.4251350397395843E-3</v>
      </c>
      <c r="P38" s="37">
        <f>P32/$C$9</f>
        <v>8.9101620476875004E-2</v>
      </c>
      <c r="R38" s="29" t="s">
        <v>38</v>
      </c>
      <c r="X38" s="29"/>
    </row>
    <row r="39" spans="2:24" ht="12" customHeight="1" x14ac:dyDescent="0.15">
      <c r="B39" s="36"/>
      <c r="C39" s="38"/>
      <c r="D39" s="38"/>
      <c r="E39"/>
      <c r="F39" s="38"/>
      <c r="G39" s="38"/>
      <c r="I39" s="38"/>
      <c r="J39" s="38"/>
      <c r="L39" s="38"/>
      <c r="M39" s="38"/>
      <c r="O39" s="38"/>
      <c r="P39" s="38"/>
    </row>
    <row r="40" spans="2:24" ht="12" customHeight="1" x14ac:dyDescent="0.15">
      <c r="B40" s="35" t="s">
        <v>39</v>
      </c>
      <c r="C40" s="37">
        <f>C36/($C$10+$C$13)</f>
        <v>5.7713074476069695E-3</v>
      </c>
      <c r="D40" s="37">
        <f>D36/($C$10+$C$13)</f>
        <v>6.925568937128361E-2</v>
      </c>
      <c r="E40"/>
      <c r="F40" s="37">
        <f>F36/($C$10+$C$13)</f>
        <v>6.4131392565500607E-3</v>
      </c>
      <c r="G40" s="37">
        <f>G36/($C$10+$C$13)</f>
        <v>7.6957671078600659E-2</v>
      </c>
      <c r="I40" s="37">
        <f>I36/($C$10+$C$13)</f>
        <v>7.7667914415094101E-3</v>
      </c>
      <c r="J40" s="37">
        <f>J36/($C$10+$C$13)</f>
        <v>9.3201497298112931E-2</v>
      </c>
      <c r="L40" s="37">
        <f>L36/($C$10+$C$13)</f>
        <v>9.1898697253000594E-3</v>
      </c>
      <c r="M40" s="37">
        <f>M36/($C$10+$C$13)</f>
        <v>0.11027843670360071</v>
      </c>
      <c r="O40" s="37">
        <f>O36/($C$10+$C$13)</f>
        <v>1.0685897717551079E-2</v>
      </c>
      <c r="P40" s="37">
        <f>P36/($C$10+$C$13)</f>
        <v>0.12823077261061289</v>
      </c>
      <c r="R40" s="29" t="s">
        <v>40</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3.xml><?xml version="1.0" encoding="utf-8"?>
<ds:datastoreItem xmlns:ds="http://schemas.openxmlformats.org/officeDocument/2006/customXml" ds:itemID="{51F2F8C1-F008-4039-BC98-6A86D66A5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2022-06-20T20:35:37Z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