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8_{0DDF6145-B4EC-BD4F-8BD0-DA9DD34D0016}" xr6:coauthVersionLast="47" xr6:coauthVersionMax="47" xr10:uidLastSave="{00000000-0000-0000-0000-000000000000}"/>
  <bookViews>
    <workbookView xWindow="21380" yWindow="2020" windowWidth="15680" windowHeight="1782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3" l="1"/>
  <c r="W18" i="4"/>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G26" i="3"/>
  <c r="F19" i="3"/>
  <c r="F28" i="3" s="1"/>
  <c r="C46" i="3"/>
  <c r="F46" i="3" s="1"/>
  <c r="C29" i="3"/>
  <c r="C28" i="3"/>
  <c r="F27" i="3"/>
  <c r="F26" i="3"/>
  <c r="C21" i="3"/>
  <c r="C23" i="3" s="1"/>
  <c r="D19" i="3"/>
  <c r="G19" i="3" s="1"/>
  <c r="C14" i="3"/>
  <c r="C12" i="3"/>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1" i="3"/>
  <c r="F23" i="3" s="1"/>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<sst xmlns="http://schemas.openxmlformats.org/spreadsheetml/2006/main" count="128" uniqueCount="57">
  <si>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</si>
  <si>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</si>
  <si>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</si>
  <si>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</si>
  <si>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</si>
  <si>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</si>
  <si>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</si>
  <si>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</si>
  <si>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</si>
  <si>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</si>
  <si>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</si>
  <si>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</si>
  <si>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</si>
  <si>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</si>
  <si>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</si>
  <si>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</si>
  <si>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</si>
  <si>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</si>
  <si>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</si>
  <si>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</si>
  <si>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</si>
  <si>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</si>
  <si>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</si>
  <si>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</si>
  <si>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</si>
  <si>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Property Tax Bill</t>
  </si>
  <si>
    <t>Insurance</t>
  </si>
  <si>
    <t>Estimate</t>
  </si>
  <si>
    <t>Replacement/Reserves</t>
  </si>
  <si>
    <t>of annual effective income</t>
  </si>
  <si>
    <t>Management</t>
  </si>
  <si>
    <t>Year 1 mgmt. fee</t>
  </si>
  <si>
    <t>Mgmt. Fee</t>
  </si>
  <si>
    <t>Total Expenses</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</si>
  <si>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</si>
  <si>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</si>
  <si>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</si>
  <si>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</si>
  <si>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</si>
  <si>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</si>
  <si>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</si>
  <si>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</si>
  <si>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</si>
  <si>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</si>
  <si>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</si>
  <si>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</si>
  <si>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</si>
  <si>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</si>
  <si>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</si>
  <si>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</si>
  <si>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</si>
  <si>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</si>
  <si>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</si>
  <si>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</si>
  <si>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</si>
  <si>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2415 Westport St, Baltimore MD 21230</t>
  </si>
  <si>
    <t>Actual Tax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</si>
</sst>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8">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167" fontId="1" fillId="4" borderId="1" xfId="4" applyNumberFormat="1" applyFont="1" applyFill="1" applyBorder="1" applyAlignment="1">
      <alignment horizontal="left"/>
    </xf>
    <xf numFmtId="0" fontId="8" fillId="5" borderId="0" xfId="0" applyFont="1" applyFill="1" applyAlignment="1">
      <alignment horizontal="center"/>
    </xf>
    <xf numFmtId="0" fontId="19" fillId="0" borderId="1" xfId="0" applyFont="1" applyBorder="1" applyAlignment="1">
      <alignment horizontal="left"/>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C13" sqref="C13"/>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59" t="s">
        <v>0</v>
      </c>
      <c r="C4" s="59"/>
      <c r="D4" s="59"/>
      <c r="E4" s="59"/>
      <c r="F4" s="59"/>
      <c r="G4" s="59"/>
      <c r="H4" s="59"/>
      <c r="I4" s="59"/>
      <c r="J4" s="59"/>
      <c r="K4" s="59"/>
      <c r="L4" s="59"/>
    </row>
    <row r="5" spans="2:19" ht="7.25" customHeight="1" x14ac:dyDescent="0.15">
      <c r="B5" s="2"/>
    </row>
    <row r="6" spans="2:19" ht="12" customHeight="1" x14ac:dyDescent="0.15">
      <c r="B6" s="60" t="s">
        <v>1</v>
      </c>
      <c r="C6" s="60"/>
      <c r="D6" s="60"/>
      <c r="E6" s="60"/>
      <c r="F6" s="60"/>
      <c r="G6" s="60"/>
      <c r="H6" s="60"/>
      <c r="I6" s="60"/>
      <c r="J6" s="60"/>
      <c r="K6" s="60"/>
      <c r="L6" s="60"/>
    </row>
    <row r="7" spans="2:19" x14ac:dyDescent="0.2">
      <c r="B7" s="61" t="s">
        <v>55</v>
      </c>
      <c r="C7" s="61"/>
      <c r="D7" s="61"/>
      <c r="E7" s="61"/>
      <c r="F7" s="61"/>
      <c r="G7" s="61"/>
      <c r="H7" s="61"/>
      <c r="I7" s="61"/>
      <c r="J7" s="61"/>
      <c r="K7" s="61"/>
      <c r="L7" s="61"/>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192000</v>
      </c>
      <c r="D10" s="12"/>
      <c r="E10" s="10"/>
    </row>
    <row r="11" spans="2:19" ht="12" customHeight="1" x14ac:dyDescent="0.15">
      <c r="B11" s="13" t="s">
        <v>6</v>
      </c>
      <c r="C11" s="14">
        <f>C10*D11</f>
        <v>38400</v>
      </c>
      <c r="D11" s="18">
        <v>0.2</v>
      </c>
      <c r="E11" s="10"/>
    </row>
    <row r="12" spans="2:19" ht="12" customHeight="1" x14ac:dyDescent="0.15">
      <c r="B12" s="15" t="s">
        <v>7</v>
      </c>
      <c r="C12" s="14">
        <f>C10-C11</f>
        <v>153600</v>
      </c>
      <c r="D12" s="16"/>
      <c r="E12" s="10"/>
    </row>
    <row r="13" spans="2:19" ht="12" customHeight="1" x14ac:dyDescent="0.15">
      <c r="B13" s="15" t="s">
        <v>8</v>
      </c>
      <c r="C13" s="56">
        <v>6.1249999999999999E-2</v>
      </c>
      <c r="D13" s="52">
        <v>30</v>
      </c>
      <c r="E13" s="17" t="s">
        <v>9</v>
      </c>
      <c r="N13" s="85" t="s">
        <v>10</v>
      </c>
      <c r="O13" s="85"/>
      <c r="P13" s="2"/>
      <c r="Q13" s="2"/>
      <c r="R13" s="2"/>
      <c r="S13" s="2"/>
    </row>
    <row r="14" spans="2:19" ht="12" customHeight="1" x14ac:dyDescent="0.15">
      <c r="B14" s="13" t="s">
        <v>11</v>
      </c>
      <c r="C14" s="14">
        <f>C10*D14</f>
        <v>8832</v>
      </c>
      <c r="D14" s="18">
        <v>4.5999999999999999E-2</v>
      </c>
      <c r="E14" s="10"/>
    </row>
    <row r="15" spans="2:19" ht="12" customHeight="1" thickBot="1" x14ac:dyDescent="0.2">
      <c r="B15" s="13"/>
      <c r="C15" s="14"/>
      <c r="F15" s="18"/>
      <c r="G15" s="10"/>
      <c r="H15" s="10"/>
      <c r="I15" s="10"/>
      <c r="J15" s="10"/>
      <c r="K15" s="10"/>
    </row>
    <row r="16" spans="2:19" ht="29.25" customHeight="1" thickBot="1" x14ac:dyDescent="0.2">
      <c r="C16" s="62" t="s">
        <v>12</v>
      </c>
      <c r="D16" s="63"/>
      <c r="E16"/>
      <c r="F16" s="62" t="s">
        <v>13</v>
      </c>
      <c r="G16" s="63"/>
      <c r="J16" s="69" t="s">
        <v>14</v>
      </c>
      <c r="K16" s="70"/>
      <c r="L16" s="71"/>
      <c r="N16" s="69" t="s">
        <v>15</v>
      </c>
      <c r="O16" s="70"/>
      <c r="P16" s="71"/>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86" t="s">
        <v>4</v>
      </c>
      <c r="K18" s="86"/>
      <c r="L18" s="86"/>
      <c r="M18" s="86"/>
      <c r="N18" s="42" t="s">
        <v>3</v>
      </c>
      <c r="O18" s="86" t="s">
        <v>4</v>
      </c>
      <c r="P18" s="86"/>
      <c r="Q18" s="86"/>
      <c r="R18" s="86"/>
      <c r="S18" s="86"/>
      <c r="T18" s="86"/>
      <c r="U18" s="86"/>
      <c r="V18" s="86"/>
    </row>
    <row r="19" spans="2:22" ht="12" customHeight="1" x14ac:dyDescent="0.15">
      <c r="B19" s="19" t="s">
        <v>18</v>
      </c>
      <c r="C19" s="55">
        <v>1575</v>
      </c>
      <c r="D19" s="14">
        <f>SUM(C19)*12</f>
        <v>18900</v>
      </c>
      <c r="E19"/>
      <c r="F19" s="26">
        <f>C19*(1+$N$19)^4</f>
        <v>1914.42234375</v>
      </c>
      <c r="G19" s="26">
        <f>D19*(1+$N$19)^4</f>
        <v>22973.068125000002</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f>(C19*I21)*-1</f>
        <v>-78.75</v>
      </c>
      <c r="D21" s="14">
        <f>(D19*I21)*-1</f>
        <v>-945</v>
      </c>
      <c r="E21"/>
      <c r="F21" s="32">
        <f>(F19*N21)*-1</f>
        <v>-95.721117187499999</v>
      </c>
      <c r="G21" s="14">
        <f>(G19*N21)*-1</f>
        <v>-1148.6534062500002</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1496.25</v>
      </c>
      <c r="D23" s="27">
        <f>D19+D21</f>
        <v>17955</v>
      </c>
      <c r="E23"/>
      <c r="F23" s="27">
        <f>F19+F21</f>
        <v>1818.7012265624999</v>
      </c>
      <c r="G23" s="27">
        <f>G19+G21</f>
        <v>21824.414718750002</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86" t="s">
        <v>4</v>
      </c>
      <c r="K25" s="86"/>
      <c r="L25" s="86"/>
      <c r="M25" s="86"/>
      <c r="N25" s="42" t="s">
        <v>3</v>
      </c>
      <c r="O25" s="86" t="s">
        <v>4</v>
      </c>
      <c r="P25" s="86"/>
      <c r="Q25" s="86"/>
      <c r="R25" s="86"/>
      <c r="S25" s="86"/>
      <c r="T25" s="86"/>
      <c r="U25" s="86"/>
      <c r="V25" s="86"/>
    </row>
    <row r="26" spans="2:22" ht="12" customHeight="1" x14ac:dyDescent="0.15">
      <c r="B26" s="13" t="s">
        <v>24</v>
      </c>
      <c r="C26" s="8">
        <f>D26/12</f>
        <v>115.5</v>
      </c>
      <c r="D26" s="55">
        <v>1386</v>
      </c>
      <c r="E26"/>
      <c r="F26" s="22">
        <f>C26*(1+$N$27)^4</f>
        <v>129.996267555</v>
      </c>
      <c r="G26" s="22">
        <f>D26*(1+$N$27)^4</f>
        <v>1559.9552106599999</v>
      </c>
      <c r="I26" s="20"/>
      <c r="J26" s="21" t="s">
        <v>56</v>
      </c>
      <c r="N26" s="57">
        <v>0.05</v>
      </c>
      <c r="O26" s="21" t="s">
        <v>25</v>
      </c>
    </row>
    <row r="27" spans="2:22" ht="12" customHeight="1" x14ac:dyDescent="0.15">
      <c r="B27" s="13" t="s">
        <v>26</v>
      </c>
      <c r="C27" s="22">
        <f>D27/12</f>
        <v>54.166666666666664</v>
      </c>
      <c r="D27" s="55">
        <v>650</v>
      </c>
      <c r="E27"/>
      <c r="F27" s="22">
        <f>C27*(1+$N$27)^4</f>
        <v>60.965060541666659</v>
      </c>
      <c r="G27" s="22">
        <f>D27*(1+$N$27)^4</f>
        <v>731.58072649999997</v>
      </c>
      <c r="I27" s="23"/>
      <c r="J27" s="17" t="s">
        <v>27</v>
      </c>
      <c r="N27" s="57">
        <v>0.03</v>
      </c>
      <c r="O27" s="17" t="s">
        <v>19</v>
      </c>
    </row>
    <row r="28" spans="2:22" ht="12" customHeight="1" x14ac:dyDescent="0.15">
      <c r="B28" s="13" t="s">
        <v>28</v>
      </c>
      <c r="C28" s="14">
        <f>I28*C19</f>
        <v>31.5</v>
      </c>
      <c r="D28" s="14">
        <f>I28*D19</f>
        <v>378</v>
      </c>
      <c r="E28"/>
      <c r="F28" s="14">
        <f>N28*F19</f>
        <v>38.288446874999998</v>
      </c>
      <c r="G28" s="14">
        <f>N28*G19</f>
        <v>459.46136250000006</v>
      </c>
      <c r="I28" s="57">
        <v>0.02</v>
      </c>
      <c r="J28" s="24" t="s">
        <v>29</v>
      </c>
      <c r="N28" s="57">
        <v>0.02</v>
      </c>
      <c r="O28" s="24" t="s">
        <v>29</v>
      </c>
    </row>
    <row r="29" spans="2:22" ht="12" customHeight="1" x14ac:dyDescent="0.15">
      <c r="B29" s="13" t="s">
        <v>30</v>
      </c>
      <c r="C29" s="14">
        <f>I29*C19</f>
        <v>94.5</v>
      </c>
      <c r="D29" s="14">
        <f>I29*D19</f>
        <v>1134</v>
      </c>
      <c r="E29"/>
      <c r="F29" s="14">
        <f>N29*F19</f>
        <v>153.15378749999999</v>
      </c>
      <c r="G29" s="14">
        <f>N29*G19</f>
        <v>1837.8454500000003</v>
      </c>
      <c r="I29" s="57">
        <v>0.06</v>
      </c>
      <c r="J29" s="17" t="s">
        <v>31</v>
      </c>
      <c r="N29" s="57">
        <v>0.08</v>
      </c>
      <c r="O29" s="17" t="s">
        <v>32</v>
      </c>
    </row>
    <row r="30" spans="2:22" ht="4.25" customHeight="1" x14ac:dyDescent="0.15">
      <c r="B30" s="31"/>
      <c r="C30" s="31"/>
      <c r="D30" s="31"/>
      <c r="E30"/>
      <c r="F30" s="31"/>
      <c r="G30" s="31"/>
      <c r="I30" s="10"/>
      <c r="J30" s="10"/>
      <c r="N30" s="10"/>
      <c r="O30" s="10"/>
      <c r="P30" s="10"/>
    </row>
    <row r="31" spans="2:22" s="10" customFormat="1" ht="12" customHeight="1" x14ac:dyDescent="0.15">
      <c r="B31" s="40" t="s">
        <v>33</v>
      </c>
      <c r="C31" s="27">
        <f>SUM(C26:C29)</f>
        <v>295.66666666666663</v>
      </c>
      <c r="D31" s="27">
        <f>SUM(D26:D29)</f>
        <v>3548</v>
      </c>
      <c r="F31" s="27">
        <f>SUM(F26:F29)</f>
        <v>382.40356247166665</v>
      </c>
      <c r="G31" s="27">
        <f>SUM(G26:G29)</f>
        <v>4588.8427496599998</v>
      </c>
      <c r="P31"/>
      <c r="Q31"/>
    </row>
    <row r="32" spans="2:22" ht="12" customHeight="1" x14ac:dyDescent="0.15">
      <c r="C32" s="4"/>
      <c r="D32"/>
      <c r="E32"/>
      <c r="F32" s="4"/>
      <c r="J32" s="34"/>
      <c r="O32" s="34"/>
    </row>
    <row r="33" spans="2:21" ht="12" customHeight="1" x14ac:dyDescent="0.15">
      <c r="B33" s="11" t="s">
        <v>34</v>
      </c>
      <c r="C33" s="27">
        <f>C23-C31</f>
        <v>1200.5833333333335</v>
      </c>
      <c r="D33" s="27">
        <f>D23-D31</f>
        <v>14407</v>
      </c>
      <c r="E33"/>
      <c r="F33" s="27">
        <f>F23-F31</f>
        <v>1436.2976640908332</v>
      </c>
      <c r="G33" s="27">
        <f>G23-G31</f>
        <v>17235.57196909</v>
      </c>
    </row>
    <row r="34" spans="2:21" ht="12" customHeight="1" x14ac:dyDescent="0.15">
      <c r="C34" s="4"/>
      <c r="D34"/>
      <c r="E34"/>
      <c r="F34" s="4"/>
    </row>
    <row r="35" spans="2:21" ht="12" customHeight="1" x14ac:dyDescent="0.15">
      <c r="B35" s="39" t="s">
        <v>35</v>
      </c>
      <c r="C35" s="5">
        <f>PMT(C13/12,D13*12,C12)</f>
        <v>-933.28978879594251</v>
      </c>
      <c r="D35" s="5">
        <f>PMT(C13/12,D13*12,C12)*12</f>
        <v>-11199.47746555131</v>
      </c>
      <c r="E35"/>
      <c r="F35" s="5">
        <f>PMT(C13/12,D13*12,C12)</f>
        <v>-933.28978879594251</v>
      </c>
      <c r="G35" s="5">
        <f>PMT(C13/12,D13*12,C12)*12</f>
        <v>-11199.47746555131</v>
      </c>
      <c r="J35" s="34"/>
      <c r="O35" s="34"/>
    </row>
    <row r="36" spans="2:21" ht="12" customHeight="1" x14ac:dyDescent="0.15">
      <c r="C36" s="4"/>
      <c r="D36"/>
      <c r="E36"/>
      <c r="F36" s="4"/>
      <c r="K36" s="41"/>
    </row>
    <row r="37" spans="2:21" ht="12" customHeight="1" x14ac:dyDescent="0.15">
      <c r="B37" s="11" t="s">
        <v>36</v>
      </c>
      <c r="C37" s="27">
        <f>C33+C35</f>
        <v>267.29354453739097</v>
      </c>
      <c r="D37" s="27">
        <f>D33+D35</f>
        <v>3207.5225344486898</v>
      </c>
      <c r="E37"/>
      <c r="F37" s="27">
        <f>F33+F35</f>
        <v>503.00787529489071</v>
      </c>
      <c r="G37" s="27">
        <f>G33+G35</f>
        <v>6036.0945035386903</v>
      </c>
    </row>
    <row r="38" spans="2:21" ht="12" customHeight="1" x14ac:dyDescent="0.15">
      <c r="D38"/>
      <c r="E38"/>
    </row>
    <row r="39" spans="2:21" ht="12" customHeight="1" x14ac:dyDescent="0.15">
      <c r="B39" s="35" t="s">
        <v>37</v>
      </c>
      <c r="C39" s="37">
        <f>C33/$C$10</f>
        <v>6.2530381944444456E-3</v>
      </c>
      <c r="D39" s="37">
        <f>D33/$C$10</f>
        <v>7.5036458333333333E-2</v>
      </c>
      <c r="E39"/>
      <c r="F39" s="37">
        <f>F33/$C$10</f>
        <v>7.4807170004730899E-3</v>
      </c>
      <c r="G39" s="37">
        <f>G33/$C$10</f>
        <v>8.9768604005677086E-2</v>
      </c>
      <c r="I39" s="29" t="s">
        <v>38</v>
      </c>
      <c r="O39" s="29"/>
    </row>
    <row r="40" spans="2:21" ht="12" customHeight="1" x14ac:dyDescent="0.15">
      <c r="B40" s="36"/>
      <c r="C40" s="38"/>
      <c r="D40" s="38"/>
      <c r="E40"/>
      <c r="F40" s="38"/>
      <c r="G40" s="38"/>
    </row>
    <row r="41" spans="2:21" ht="12" customHeight="1" x14ac:dyDescent="0.15">
      <c r="B41" s="35" t="s">
        <v>39</v>
      </c>
      <c r="C41" s="37">
        <f>C37/($C$11+$C$14)</f>
        <v>5.6591621048736234E-3</v>
      </c>
      <c r="D41" s="37">
        <f>D37/($C$11+$C$14)</f>
        <v>6.7909945258483442E-2</v>
      </c>
      <c r="E41"/>
      <c r="F41" s="37">
        <f>F37/($C$11+$C$14)</f>
        <v>1.0649726357022585E-2</v>
      </c>
      <c r="G41" s="37">
        <f>G37/($C$11+$C$14)</f>
        <v>0.12779671628427106</v>
      </c>
      <c r="I41" s="29" t="s">
        <v>40</v>
      </c>
    </row>
    <row r="42" spans="2:21" ht="12" customHeight="1" thickBot="1" x14ac:dyDescent="0.2">
      <c r="D42"/>
      <c r="E42"/>
    </row>
    <row r="43" spans="2:21" ht="29.25" customHeight="1" thickBot="1" x14ac:dyDescent="0.2">
      <c r="C43" s="62" t="s">
        <v>41</v>
      </c>
      <c r="D43" s="63"/>
      <c r="E43"/>
      <c r="F43" s="62" t="s">
        <v>42</v>
      </c>
      <c r="G43" s="63"/>
    </row>
    <row r="44" spans="2:21" ht="12" customHeight="1" x14ac:dyDescent="0.15">
      <c r="D44"/>
      <c r="E44"/>
      <c r="P44" s="49"/>
      <c r="Q44" s="49"/>
      <c r="R44" s="49"/>
      <c r="S44" s="49"/>
      <c r="T44" s="49"/>
    </row>
    <row r="45" spans="2:21" ht="12" customHeight="1" x14ac:dyDescent="0.15">
      <c r="B45" s="45" t="s">
        <v>43</v>
      </c>
      <c r="C45" s="67">
        <f>D37</f>
        <v>3207.5225344486898</v>
      </c>
      <c r="D45" s="68"/>
      <c r="E45"/>
      <c r="F45" s="67">
        <f>SUM('Annual Cash Flow'!D36,'Annual Cash Flow'!G36,'Annual Cash Flow'!J36,'Annual Cash Flow'!M36,'Annual Cash Flow'!P36)</f>
        <v>22340.478194333453</v>
      </c>
      <c r="G45" s="68"/>
      <c r="O45" s="29"/>
    </row>
    <row r="46" spans="2:21" ht="12" customHeight="1" x14ac:dyDescent="0.15">
      <c r="B46" s="45" t="s">
        <v>44</v>
      </c>
      <c r="C46" s="67">
        <f>C10*I46</f>
        <v>9600</v>
      </c>
      <c r="D46" s="68"/>
      <c r="E46"/>
      <c r="F46" s="67">
        <f>C46*5</f>
        <v>48000</v>
      </c>
      <c r="G46" s="68"/>
      <c r="I46" s="41">
        <v>0.05</v>
      </c>
      <c r="J46" s="28" t="s">
        <v>44</v>
      </c>
      <c r="O46" s="45"/>
      <c r="P46" s="44"/>
      <c r="Q46" s="44"/>
      <c r="R46" s="44"/>
      <c r="S46" s="44"/>
      <c r="T46" s="44"/>
      <c r="U46" s="47"/>
    </row>
    <row r="47" spans="2:21" ht="12" customHeight="1" x14ac:dyDescent="0.15">
      <c r="B47" s="45" t="s">
        <v>45</v>
      </c>
      <c r="C47" s="67">
        <f>($C$10*(0.9)/27.5)</f>
        <v>6283.636363636364</v>
      </c>
      <c r="D47" s="67"/>
      <c r="E47"/>
      <c r="F47" s="67">
        <f>($C$10/$I$47)*(0.9)*5</f>
        <v>31418.18181818182</v>
      </c>
      <c r="G47" s="68"/>
      <c r="I47">
        <v>27.5</v>
      </c>
      <c r="J47" s="28" t="s">
        <v>46</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47</v>
      </c>
      <c r="C49" s="84">
        <f>SUM(C45:D47)</f>
        <v>19091.158898085054</v>
      </c>
      <c r="D49" s="84"/>
      <c r="E49"/>
      <c r="F49" s="84">
        <f>SUM(F45:G47)</f>
        <v>101758.66001251528</v>
      </c>
      <c r="G49" s="84"/>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72" t="s">
        <v>48</v>
      </c>
      <c r="C52" s="73"/>
      <c r="D52" s="73"/>
      <c r="E52" s="73"/>
      <c r="F52" s="73"/>
      <c r="G52" s="74"/>
      <c r="H52" s="54"/>
      <c r="I52" s="54"/>
      <c r="J52" s="54"/>
      <c r="K52" s="54"/>
      <c r="L52" s="54"/>
    </row>
    <row r="53" spans="2:21" ht="13" x14ac:dyDescent="0.15">
      <c r="B53" s="75"/>
      <c r="C53" s="76"/>
      <c r="D53" s="76"/>
      <c r="E53" s="76"/>
      <c r="F53" s="76"/>
      <c r="G53" s="77"/>
      <c r="H53" s="31"/>
      <c r="I53" s="10"/>
      <c r="J53" s="10"/>
      <c r="K53" s="10"/>
      <c r="L53" s="10"/>
    </row>
    <row r="54" spans="2:21" s="28" customFormat="1" ht="12" customHeight="1" x14ac:dyDescent="0.15">
      <c r="B54" s="78" t="s">
        <v>49</v>
      </c>
      <c r="C54" s="79"/>
      <c r="D54" s="79"/>
      <c r="E54" s="79"/>
      <c r="F54" s="79"/>
      <c r="G54" s="80"/>
      <c r="H54" s="53"/>
      <c r="I54" s="53"/>
      <c r="J54" s="53"/>
      <c r="K54" s="53"/>
      <c r="L54" s="53"/>
    </row>
    <row r="55" spans="2:21" s="28" customFormat="1" ht="12" customHeight="1" thickBot="1" x14ac:dyDescent="0.2">
      <c r="B55" s="81"/>
      <c r="C55" s="82"/>
      <c r="D55" s="82"/>
      <c r="E55" s="82"/>
      <c r="F55" s="82"/>
      <c r="G55" s="83"/>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6">
    <mergeCell ref="N13:O13"/>
    <mergeCell ref="N16:P16"/>
    <mergeCell ref="J18:M18"/>
    <mergeCell ref="O18:V18"/>
    <mergeCell ref="J25:M25"/>
    <mergeCell ref="O25:V25"/>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B4:L4"/>
    <mergeCell ref="B6:L6"/>
    <mergeCell ref="B7:L7"/>
    <mergeCell ref="C16:D16"/>
    <mergeCell ref="F16:G16"/>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59" t="s">
        <v>0</v>
      </c>
      <c r="C5" s="59"/>
      <c r="D5" s="59"/>
      <c r="E5" s="59"/>
      <c r="F5" s="59"/>
      <c r="G5" s="59"/>
      <c r="H5" s="59"/>
      <c r="I5" s="59"/>
      <c r="J5" s="59"/>
      <c r="K5" s="59"/>
      <c r="L5" s="59"/>
      <c r="M5" s="59"/>
      <c r="N5" s="59"/>
      <c r="O5" s="59"/>
      <c r="P5" s="59"/>
      <c r="Q5" s="59"/>
      <c r="R5" s="59"/>
      <c r="S5" s="59"/>
      <c r="T5" s="59"/>
      <c r="U5" s="59"/>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192000</v>
      </c>
      <c r="D9" s="12"/>
      <c r="E9" s="10"/>
    </row>
    <row r="10" spans="2:28" ht="12" customHeight="1" x14ac:dyDescent="0.15">
      <c r="B10" s="13" t="s">
        <v>6</v>
      </c>
      <c r="C10" s="14">
        <f>C9*D10</f>
        <v>38400</v>
      </c>
      <c r="D10" s="18">
        <f>'1-5 Year Summary'!D11</f>
        <v>0.2</v>
      </c>
      <c r="E10" s="10"/>
    </row>
    <row r="11" spans="2:28" ht="12" customHeight="1" x14ac:dyDescent="0.15">
      <c r="B11" s="15" t="s">
        <v>7</v>
      </c>
      <c r="C11" s="14">
        <f>C9-C10</f>
        <v>153600</v>
      </c>
      <c r="D11" s="16"/>
      <c r="E11" s="10"/>
    </row>
    <row r="12" spans="2:28" ht="12" customHeight="1" x14ac:dyDescent="0.15">
      <c r="B12" s="15" t="s">
        <v>8</v>
      </c>
      <c r="C12" s="3">
        <f>'1-5 Year Summary'!C13</f>
        <v>6.1249999999999999E-2</v>
      </c>
      <c r="D12" s="52">
        <f>'1-5 Year Summary'!D13</f>
        <v>30</v>
      </c>
      <c r="E12" s="17" t="s">
        <v>9</v>
      </c>
      <c r="W12" s="87"/>
      <c r="X12" s="87"/>
      <c r="Y12" s="2"/>
      <c r="Z12" s="2"/>
      <c r="AA12" s="2"/>
      <c r="AB12" s="2"/>
    </row>
    <row r="13" spans="2:28" ht="12" customHeight="1" x14ac:dyDescent="0.15">
      <c r="B13" s="13" t="s">
        <v>11</v>
      </c>
      <c r="C13" s="30">
        <f>C9*D13</f>
        <v>8832</v>
      </c>
      <c r="D13" s="18">
        <f>'1-5 Year Summary'!D14</f>
        <v>4.5999999999999999E-2</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62" t="s">
        <v>50</v>
      </c>
      <c r="D15" s="63"/>
      <c r="E15"/>
      <c r="F15" s="62" t="s">
        <v>51</v>
      </c>
      <c r="G15" s="63"/>
      <c r="I15" s="62" t="s">
        <v>52</v>
      </c>
      <c r="J15" s="63"/>
      <c r="L15" s="62" t="s">
        <v>53</v>
      </c>
      <c r="M15" s="63"/>
      <c r="O15" s="62" t="s">
        <v>54</v>
      </c>
      <c r="P15" s="63"/>
      <c r="S15" s="69" t="s">
        <v>14</v>
      </c>
      <c r="T15" s="70"/>
      <c r="U15" s="71"/>
      <c r="W15" s="69" t="s">
        <v>15</v>
      </c>
      <c r="X15" s="70"/>
      <c r="Y15" s="71"/>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86" t="s">
        <v>4</v>
      </c>
      <c r="T17" s="86"/>
      <c r="U17" s="86"/>
      <c r="V17" s="86"/>
      <c r="W17" s="42" t="s">
        <v>3</v>
      </c>
      <c r="X17" s="86" t="s">
        <v>4</v>
      </c>
      <c r="Y17" s="86"/>
      <c r="Z17" s="86"/>
      <c r="AA17" s="86"/>
      <c r="AB17" s="86"/>
      <c r="AC17" s="86"/>
      <c r="AD17" s="86"/>
      <c r="AE17" s="86"/>
    </row>
    <row r="18" spans="2:31" ht="12" customHeight="1" x14ac:dyDescent="0.15">
      <c r="B18" s="19" t="s">
        <v>18</v>
      </c>
      <c r="C18" s="8">
        <f>'1-5 Year Summary'!C19</f>
        <v>1575</v>
      </c>
      <c r="D18" s="14">
        <f>SUM(C18)*12</f>
        <v>18900</v>
      </c>
      <c r="E18"/>
      <c r="F18" s="26">
        <f>C18*(1+$W$18)</f>
        <v>1653.75</v>
      </c>
      <c r="G18" s="26">
        <f>D18*(1+$W$18)</f>
        <v>19845</v>
      </c>
      <c r="I18" s="26">
        <f>F18*(1+$W$18)</f>
        <v>1736.4375</v>
      </c>
      <c r="J18" s="26">
        <f>G18*(1+$W$18)</f>
        <v>20837.25</v>
      </c>
      <c r="L18" s="26">
        <f>I18*(1+$W$18)</f>
        <v>1823.2593750000001</v>
      </c>
      <c r="M18" s="26">
        <f>J18*(1+$W$18)</f>
        <v>21879.112499999999</v>
      </c>
      <c r="O18" s="26">
        <f>L18*(1+$W$18)</f>
        <v>1914.4223437500002</v>
      </c>
      <c r="P18" s="26">
        <f>M18*(1+$W$18)</f>
        <v>22973.068125000002</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-78.75</v>
      </c>
      <c r="D20" s="14">
        <f>(D18*R20)*-1</f>
        <v>-945</v>
      </c>
      <c r="E20"/>
      <c r="F20" s="32">
        <f>(F18*W20)*-1</f>
        <v>-82.6875</v>
      </c>
      <c r="G20" s="14">
        <f>(G18*W20)*-1</f>
        <v>-992.25</v>
      </c>
      <c r="I20" s="32">
        <f>(I18*$W$20)*-1</f>
        <v>-86.821875000000006</v>
      </c>
      <c r="J20" s="14">
        <f>(J18*$W$20)*-1</f>
        <v>-1041.8625</v>
      </c>
      <c r="L20" s="32">
        <f>(L18*$W$20)*-1</f>
        <v>-91.162968750000005</v>
      </c>
      <c r="M20" s="14">
        <f>(M18*$W$20)*-1</f>
        <v>-1093.9556250000001</v>
      </c>
      <c r="O20" s="32">
        <f>(O18*$W$20)*-1</f>
        <v>-95.721117187500013</v>
      </c>
      <c r="P20" s="14">
        <f>(P18*$W$20)*-1</f>
        <v>-1148.6534062500002</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1496.25</v>
      </c>
      <c r="D22" s="27">
        <f>D18+D20</f>
        <v>17955</v>
      </c>
      <c r="E22"/>
      <c r="F22" s="27">
        <f>F18+F20</f>
        <v>1571.0625</v>
      </c>
      <c r="G22" s="27">
        <f>G18+G20</f>
        <v>18852.75</v>
      </c>
      <c r="I22" s="27">
        <f>I18+I20</f>
        <v>1649.6156249999999</v>
      </c>
      <c r="J22" s="27">
        <f>J18+J20</f>
        <v>19795.387500000001</v>
      </c>
      <c r="L22" s="27">
        <f>L18+L20</f>
        <v>1732.0964062500002</v>
      </c>
      <c r="M22" s="27">
        <f>M18+M20</f>
        <v>20785.156875000001</v>
      </c>
      <c r="O22" s="27">
        <f>O18+O20</f>
        <v>1818.7012265625001</v>
      </c>
      <c r="P22" s="27">
        <f>P18+P20</f>
        <v>21824.414718750002</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86" t="s">
        <v>4</v>
      </c>
      <c r="T24" s="86"/>
      <c r="U24" s="86"/>
      <c r="V24" s="86"/>
      <c r="W24" s="42" t="s">
        <v>3</v>
      </c>
      <c r="X24" s="86" t="s">
        <v>4</v>
      </c>
      <c r="Y24" s="86"/>
      <c r="Z24" s="86"/>
      <c r="AA24" s="86"/>
      <c r="AB24" s="86"/>
      <c r="AC24" s="86"/>
      <c r="AD24" s="86"/>
      <c r="AE24" s="86"/>
    </row>
    <row r="25" spans="2:31" ht="12" customHeight="1" x14ac:dyDescent="0.15">
      <c r="B25" s="13" t="s">
        <v>24</v>
      </c>
      <c r="C25" s="8">
        <f>D25/12</f>
        <v>115.5</v>
      </c>
      <c r="D25" s="8">
        <f>'1-5 Year Summary'!D26</f>
        <v>1386</v>
      </c>
      <c r="E25"/>
      <c r="F25" s="22">
        <f>C25*(1+$W$26)</f>
        <v>118.965</v>
      </c>
      <c r="G25" s="22">
        <f>D25*(1+$W$26)</f>
        <v>1427.58</v>
      </c>
      <c r="I25" s="22">
        <f>F25*(1+$W$26)</f>
        <v>122.53395</v>
      </c>
      <c r="J25" s="22">
        <f>G25*(1+$W$26)</f>
        <v>1470.4074000000001</v>
      </c>
      <c r="L25" s="22">
        <f>I25*(1+$W$26)</f>
        <v>126.2099685</v>
      </c>
      <c r="M25" s="22">
        <f>J25*(1+$W$26)</f>
        <v>1514.519622</v>
      </c>
      <c r="O25" s="22">
        <f>L25*(1+$W$26)</f>
        <v>129.996267555</v>
      </c>
      <c r="P25" s="22">
        <f>M25*(1+$W$26)</f>
        <v>1559.9552106600001</v>
      </c>
      <c r="R25" s="20"/>
      <c r="S25" s="21" t="s">
        <v>25</v>
      </c>
      <c r="W25" s="7">
        <f>'1-5 Year Summary'!N26</f>
        <v>0.05</v>
      </c>
      <c r="X25" s="21" t="s">
        <v>25</v>
      </c>
    </row>
    <row r="26" spans="2:31" ht="12" customHeight="1" x14ac:dyDescent="0.15">
      <c r="B26" s="13" t="s">
        <v>26</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27</v>
      </c>
      <c r="W26" s="7">
        <f>'1-5 Year Summary'!N27</f>
        <v>0.03</v>
      </c>
      <c r="X26" s="17" t="s">
        <v>19</v>
      </c>
    </row>
    <row r="27" spans="2:31" ht="12" customHeight="1" x14ac:dyDescent="0.15">
      <c r="B27" s="13" t="s">
        <v>28</v>
      </c>
      <c r="C27" s="14">
        <f>R27*C18</f>
        <v>31.5</v>
      </c>
      <c r="D27" s="14">
        <f>R27*D18</f>
        <v>378</v>
      </c>
      <c r="E27"/>
      <c r="F27" s="14">
        <f>W27*F18</f>
        <v>33.075000000000003</v>
      </c>
      <c r="G27" s="14">
        <f>W27*G18</f>
        <v>396.90000000000003</v>
      </c>
      <c r="I27" s="14">
        <f>W27*I18</f>
        <v>34.728749999999998</v>
      </c>
      <c r="J27" s="14">
        <f>W27*J18</f>
        <v>416.745</v>
      </c>
      <c r="L27" s="14">
        <f>$W$27*L18</f>
        <v>36.465187500000006</v>
      </c>
      <c r="M27" s="14">
        <f>$W$27*M18</f>
        <v>437.58224999999999</v>
      </c>
      <c r="O27" s="14">
        <f>$W$27*O18</f>
        <v>38.288446875000005</v>
      </c>
      <c r="P27" s="14">
        <f>$W$27*P18</f>
        <v>459.46136250000006</v>
      </c>
      <c r="R27" s="7">
        <f>'1-5 Year Summary'!I28</f>
        <v>0.02</v>
      </c>
      <c r="S27" s="24" t="s">
        <v>29</v>
      </c>
      <c r="W27" s="7">
        <f>'1-5 Year Summary'!N28</f>
        <v>0.02</v>
      </c>
      <c r="X27" s="24" t="s">
        <v>29</v>
      </c>
    </row>
    <row r="28" spans="2:31" ht="12" customHeight="1" x14ac:dyDescent="0.15">
      <c r="B28" s="13" t="s">
        <v>30</v>
      </c>
      <c r="C28" s="14">
        <f>R28*C18</f>
        <v>94.5</v>
      </c>
      <c r="D28" s="14">
        <f>R28*D18</f>
        <v>1134</v>
      </c>
      <c r="E28"/>
      <c r="F28" s="14">
        <f>W28*F18</f>
        <v>132.30000000000001</v>
      </c>
      <c r="G28" s="14">
        <f>W28*G18</f>
        <v>1587.6000000000001</v>
      </c>
      <c r="I28" s="14">
        <f>$W$28*I18</f>
        <v>138.91499999999999</v>
      </c>
      <c r="J28" s="14">
        <f>$W$28*J18</f>
        <v>1666.98</v>
      </c>
      <c r="L28" s="14">
        <f>$W$28*L18</f>
        <v>145.86075000000002</v>
      </c>
      <c r="M28" s="14">
        <f>$W$28*M18</f>
        <v>1750.329</v>
      </c>
      <c r="O28" s="14">
        <f>$W$28*O18</f>
        <v>153.15378750000002</v>
      </c>
      <c r="P28" s="14">
        <f>$W$28*P18</f>
        <v>1837.8454500000003</v>
      </c>
      <c r="R28" s="7">
        <f>'1-5 Year Summary'!I29</f>
        <v>0.06</v>
      </c>
      <c r="S28" s="17" t="s">
        <v>31</v>
      </c>
      <c r="W28" s="7">
        <f>'1-5 Year Summary'!N29</f>
        <v>0.08</v>
      </c>
      <c r="X28" s="17" t="s">
        <v>32</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33</v>
      </c>
      <c r="C30" s="27">
        <f>SUM(C25:C28)</f>
        <v>295.66666666666663</v>
      </c>
      <c r="D30" s="27">
        <f>SUM(D25:D28)</f>
        <v>3548</v>
      </c>
      <c r="F30" s="27">
        <f>SUM(F25:F28)</f>
        <v>340.13166666666666</v>
      </c>
      <c r="G30" s="27">
        <f>SUM(G25:G28)</f>
        <v>4081.58</v>
      </c>
      <c r="I30" s="27">
        <f>SUM(I25:I28)</f>
        <v>353.64311666666663</v>
      </c>
      <c r="J30" s="27">
        <f>SUM(J25:J28)</f>
        <v>4243.7173999999995</v>
      </c>
      <c r="L30" s="27">
        <f>SUM(L25:L28)</f>
        <v>367.72528516666671</v>
      </c>
      <c r="M30" s="27">
        <f>SUM(M25:M28)</f>
        <v>4412.7034219999996</v>
      </c>
      <c r="O30" s="27">
        <f>SUM(O25:O28)</f>
        <v>382.4035624716667</v>
      </c>
      <c r="P30" s="27">
        <f>SUM(P25:P28)</f>
        <v>4588.8427496600007</v>
      </c>
      <c r="Y30"/>
      <c r="Z30"/>
    </row>
    <row r="31" spans="2:31" ht="12" customHeight="1" x14ac:dyDescent="0.15">
      <c r="C31" s="4"/>
      <c r="D31"/>
      <c r="E31"/>
      <c r="F31" s="4"/>
      <c r="I31" s="4"/>
      <c r="L31" s="4"/>
      <c r="O31" s="4"/>
      <c r="S31" s="34"/>
      <c r="X31" s="34"/>
    </row>
    <row r="32" spans="2:31" ht="12" customHeight="1" x14ac:dyDescent="0.15">
      <c r="B32" s="11" t="s">
        <v>34</v>
      </c>
      <c r="C32" s="27">
        <f>C22-C30</f>
        <v>1200.5833333333335</v>
      </c>
      <c r="D32" s="27">
        <f>D22-D30</f>
        <v>14407</v>
      </c>
      <c r="E32"/>
      <c r="F32" s="27">
        <f>F22-F30</f>
        <v>1230.9308333333333</v>
      </c>
      <c r="G32" s="27">
        <f>G22-G30</f>
        <v>14771.17</v>
      </c>
      <c r="I32" s="27">
        <f>I22-I30</f>
        <v>1295.9725083333333</v>
      </c>
      <c r="J32" s="27">
        <f>J22-J30</f>
        <v>15551.670100000001</v>
      </c>
      <c r="L32" s="27">
        <f>L22-L30</f>
        <v>1364.3711210833335</v>
      </c>
      <c r="M32" s="27">
        <f>M22-M30</f>
        <v>16372.453453000002</v>
      </c>
      <c r="O32" s="27">
        <f>O22-O30</f>
        <v>1436.2976640908335</v>
      </c>
      <c r="P32" s="27">
        <f>P22-P30</f>
        <v>17235.57196909</v>
      </c>
    </row>
    <row r="33" spans="2:24" ht="12" customHeight="1" x14ac:dyDescent="0.15">
      <c r="C33" s="4"/>
      <c r="D33"/>
      <c r="E33"/>
      <c r="F33" s="4"/>
      <c r="I33" s="4"/>
      <c r="L33" s="4"/>
      <c r="O33" s="4"/>
    </row>
    <row r="34" spans="2:24" ht="12" customHeight="1" x14ac:dyDescent="0.15">
      <c r="B34" s="39" t="s">
        <v>35</v>
      </c>
      <c r="C34" s="5">
        <f>PMT(C12/12,D12*12,C11)</f>
        <v>-933.28978879594251</v>
      </c>
      <c r="D34" s="5">
        <f>PMT(C12/12,D12*12,C11)*12</f>
        <v>-11199.47746555131</v>
      </c>
      <c r="E34"/>
      <c r="F34" s="5">
        <f>PMT(C12/12,D12*12,C11)</f>
        <v>-933.28978879594251</v>
      </c>
      <c r="G34" s="5">
        <f>PMT(C12/12,D12*12,C11)*12</f>
        <v>-11199.47746555131</v>
      </c>
      <c r="I34" s="5">
        <f>PMT($C$12/12,$D$12*12,$C$11)</f>
        <v>-933.28978879594251</v>
      </c>
      <c r="J34" s="5">
        <f>PMT($C$12/12,$D$12*12,$C$11)*12</f>
        <v>-11199.47746555131</v>
      </c>
      <c r="L34" s="5">
        <f>PMT($C$12/12,$D$12*12,$C$11)</f>
        <v>-933.28978879594251</v>
      </c>
      <c r="M34" s="5">
        <f>PMT($C$12/12,$D$12*12,$C$11)*12</f>
        <v>-11199.47746555131</v>
      </c>
      <c r="O34" s="5">
        <f>PMT($C$12/12,$D$12*12,$C$11)</f>
        <v>-933.28978879594251</v>
      </c>
      <c r="P34" s="5">
        <f>PMT($C$12/12,$D$12*12,$C$11)*12</f>
        <v>-11199.47746555131</v>
      </c>
      <c r="S34" s="34"/>
      <c r="X34" s="34"/>
    </row>
    <row r="35" spans="2:24" ht="12" customHeight="1" x14ac:dyDescent="0.15">
      <c r="C35" s="4"/>
      <c r="D35"/>
      <c r="E35"/>
      <c r="F35" s="4"/>
      <c r="I35" s="4"/>
      <c r="L35" s="4"/>
      <c r="O35" s="4"/>
      <c r="T35" s="41"/>
    </row>
    <row r="36" spans="2:24" ht="12" customHeight="1" x14ac:dyDescent="0.15">
      <c r="B36" s="11" t="s">
        <v>36</v>
      </c>
      <c r="C36" s="27">
        <f>C32+C34</f>
        <v>267.29354453739097</v>
      </c>
      <c r="D36" s="27">
        <f>D32+D34</f>
        <v>3207.5225344486898</v>
      </c>
      <c r="E36"/>
      <c r="F36" s="27">
        <f>F32+F34</f>
        <v>297.64104453739083</v>
      </c>
      <c r="G36" s="27">
        <f>G32+G34</f>
        <v>3571.6925344486899</v>
      </c>
      <c r="I36" s="27">
        <f>I32+I34</f>
        <v>362.68271953739077</v>
      </c>
      <c r="J36" s="27">
        <f>J32+J34</f>
        <v>4352.192634448691</v>
      </c>
      <c r="L36" s="27">
        <f>L32+L34</f>
        <v>431.08133228739098</v>
      </c>
      <c r="M36" s="27">
        <f>M32+M34</f>
        <v>5172.9759874486917</v>
      </c>
      <c r="O36" s="27">
        <f>O32+O34</f>
        <v>503.00787529489094</v>
      </c>
      <c r="P36" s="27">
        <f>P32+P34</f>
        <v>6036.0945035386903</v>
      </c>
    </row>
    <row r="37" spans="2:24" ht="12" customHeight="1" x14ac:dyDescent="0.15">
      <c r="D37"/>
      <c r="E37"/>
    </row>
    <row r="38" spans="2:24" ht="12" customHeight="1" x14ac:dyDescent="0.15">
      <c r="B38" s="35" t="s">
        <v>37</v>
      </c>
      <c r="C38" s="37">
        <f>C32/$C$9</f>
        <v>6.2530381944444456E-3</v>
      </c>
      <c r="D38" s="37">
        <f>D32/$C$9</f>
        <v>7.5036458333333333E-2</v>
      </c>
      <c r="E38"/>
      <c r="F38" s="37">
        <f>F32/$C$9</f>
        <v>6.4110980902777779E-3</v>
      </c>
      <c r="G38" s="37">
        <f>G32/$C$9</f>
        <v>7.6933177083333332E-2</v>
      </c>
      <c r="I38" s="37">
        <f>I32/$C$9</f>
        <v>6.7498568142361111E-3</v>
      </c>
      <c r="J38" s="37">
        <f>J32/$C$9</f>
        <v>8.0998281770833333E-2</v>
      </c>
      <c r="L38" s="37">
        <f>L32/$C$9</f>
        <v>7.1060995889756949E-3</v>
      </c>
      <c r="M38" s="37">
        <f>M32/$C$9</f>
        <v>8.5273195067708349E-2</v>
      </c>
      <c r="O38" s="37">
        <f>O32/$C$9</f>
        <v>7.4807170004730908E-3</v>
      </c>
      <c r="P38" s="37">
        <f>P32/$C$9</f>
        <v>8.9768604005677086E-2</v>
      </c>
      <c r="R38" s="29" t="s">
        <v>38</v>
      </c>
      <c r="X38" s="29"/>
    </row>
    <row r="39" spans="2:24" ht="12" customHeight="1" x14ac:dyDescent="0.15">
      <c r="B39" s="36"/>
      <c r="C39" s="38"/>
      <c r="D39" s="38"/>
      <c r="E39"/>
      <c r="F39" s="38"/>
      <c r="G39" s="38"/>
      <c r="I39" s="38"/>
      <c r="J39" s="38"/>
      <c r="L39" s="38"/>
      <c r="M39" s="38"/>
      <c r="O39" s="38"/>
      <c r="P39" s="38"/>
    </row>
    <row r="40" spans="2:24" ht="12" customHeight="1" x14ac:dyDescent="0.15">
      <c r="B40" s="35" t="s">
        <v>39</v>
      </c>
      <c r="C40" s="37">
        <f>C36/($C$10+$C$13)</f>
        <v>5.6591621048736234E-3</v>
      </c>
      <c r="D40" s="37">
        <f>D36/($C$10+$C$13)</f>
        <v>6.7909945258483442E-2</v>
      </c>
      <c r="E40"/>
      <c r="F40" s="37">
        <f>F36/($C$10+$C$13)</f>
        <v>6.301682006635138E-3</v>
      </c>
      <c r="G40" s="37">
        <f>G36/($C$10+$C$13)</f>
        <v>7.562018407962165E-2</v>
      </c>
      <c r="I40" s="37">
        <f>I36/($C$10+$C$13)</f>
        <v>7.6787499902055975E-3</v>
      </c>
      <c r="J40" s="37">
        <f>J36/($C$10+$C$13)</f>
        <v>9.2144999882467202E-2</v>
      </c>
      <c r="L40" s="37">
        <f>L36/($C$10+$C$13)</f>
        <v>9.1268913509356155E-3</v>
      </c>
      <c r="M40" s="37">
        <f>M36/($C$10+$C$13)</f>
        <v>0.10952269621122739</v>
      </c>
      <c r="O40" s="37">
        <f>O36/($C$10+$C$13)</f>
        <v>1.0649726357022589E-2</v>
      </c>
      <c r="P40" s="37">
        <f>P36/($C$10+$C$13)</f>
        <v>0.12779671628427106</v>
      </c>
      <c r="R40" s="29" t="s">
        <v>40</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W12:X12"/>
    <mergeCell ref="S17:V17"/>
    <mergeCell ref="X17:AE17"/>
    <mergeCell ref="S24:V24"/>
    <mergeCell ref="X24:AE24"/>
    <mergeCell ref="W15:Y15"/>
    <mergeCell ref="B5:U5"/>
    <mergeCell ref="C15:D15"/>
    <mergeCell ref="F15:G15"/>
    <mergeCell ref="S15:U15"/>
    <mergeCell ref="I15:J15"/>
    <mergeCell ref="L15:M15"/>
    <mergeCell ref="O15:P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F2F8C1-F008-4039-BC98-6A86D66A574E}">
  <ds:schemaRefs>
    <ds:schemaRef ds:uri="http://schemas.microsoft.com/sharepoint/v3/contenttype/forms"/>
  </ds:schemaRefs>
</ds:datastoreItem>
</file>

<file path=customXml/itemProps3.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2022-10-04T14:49:11Z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